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V:\TIS teenused\Tervisekassa leping ja aruandlus\Aruandlus\2026\"/>
    </mc:Choice>
  </mc:AlternateContent>
  <xr:revisionPtr revIDLastSave="0" documentId="13_ncr:1_{DD0BB554-B642-4E94-A228-ED17F18A0D5A}" xr6:coauthVersionLast="47" xr6:coauthVersionMax="47" xr10:uidLastSave="{00000000-0000-0000-0000-000000000000}"/>
  <bookViews>
    <workbookView xWindow="-120" yWindow="-120" windowWidth="77040" windowHeight="21120" xr2:uid="{03B213EC-D96C-EC47-BAC3-10BF20715B00}"/>
  </bookViews>
  <sheets>
    <sheet name="Lisa 4"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5" i="5" l="1"/>
  <c r="Q4" i="5" s="1"/>
  <c r="N22" i="5"/>
  <c r="N19" i="5"/>
  <c r="N13" i="5"/>
  <c r="N7" i="5"/>
  <c r="N4" i="5"/>
  <c r="Q6" i="5"/>
  <c r="O26" i="5" l="1"/>
  <c r="P26" i="5"/>
  <c r="P24" i="5"/>
  <c r="O24" i="5"/>
  <c r="N24" i="5"/>
  <c r="T24" i="5" s="1"/>
  <c r="F26" i="5"/>
  <c r="G26" i="5"/>
  <c r="I26" i="5"/>
  <c r="J24" i="5"/>
  <c r="F24" i="5"/>
  <c r="G22" i="5"/>
  <c r="I22" i="5"/>
  <c r="K22" i="5"/>
  <c r="L22" i="5"/>
  <c r="M22" i="5"/>
  <c r="O22" i="5"/>
  <c r="P22" i="5"/>
  <c r="F22" i="5"/>
  <c r="G24" i="5"/>
  <c r="H24" i="5"/>
  <c r="I24" i="5"/>
  <c r="H23" i="5"/>
  <c r="U23" i="5" s="1"/>
  <c r="V23" i="5"/>
  <c r="T23" i="5"/>
  <c r="S23" i="5"/>
  <c r="B23" i="5"/>
  <c r="E22" i="5"/>
  <c r="D22" i="5"/>
  <c r="B22" i="5"/>
  <c r="J23" i="5" l="1"/>
  <c r="J22" i="5" s="1"/>
  <c r="J26" i="5" s="1"/>
  <c r="J25" i="5" s="1"/>
  <c r="H22" i="5"/>
  <c r="H26" i="5" s="1"/>
  <c r="Q23" i="5"/>
  <c r="Q22" i="5" s="1"/>
  <c r="W23" i="5" l="1"/>
  <c r="R23" i="5"/>
  <c r="R22" i="5" s="1"/>
  <c r="M8" i="5"/>
  <c r="M20" i="5" l="1"/>
  <c r="T6" i="5" l="1"/>
  <c r="U6" i="5"/>
  <c r="V6" i="5"/>
  <c r="T12" i="5"/>
  <c r="U12" i="5"/>
  <c r="V12" i="5"/>
  <c r="T18" i="5"/>
  <c r="U18" i="5"/>
  <c r="V18" i="5"/>
  <c r="T20" i="5"/>
  <c r="U20" i="5"/>
  <c r="V20" i="5"/>
  <c r="T21" i="5"/>
  <c r="U21" i="5"/>
  <c r="V21" i="5"/>
  <c r="S21" i="5"/>
  <c r="S20" i="5"/>
  <c r="S18" i="5"/>
  <c r="S12" i="5"/>
  <c r="S6" i="5"/>
  <c r="Q21" i="5"/>
  <c r="Q20" i="5"/>
  <c r="Q18" i="5"/>
  <c r="Q17" i="5"/>
  <c r="Q16" i="5"/>
  <c r="Q15" i="5"/>
  <c r="Q14" i="5"/>
  <c r="Q12" i="5"/>
  <c r="Q24" i="5" s="1"/>
  <c r="Q11" i="5"/>
  <c r="Q10" i="5"/>
  <c r="Q9" i="5"/>
  <c r="Q8" i="5"/>
  <c r="P19" i="5"/>
  <c r="P13" i="5"/>
  <c r="P7" i="5"/>
  <c r="P4" i="5"/>
  <c r="O19" i="5"/>
  <c r="O13" i="5"/>
  <c r="O7" i="5"/>
  <c r="O4" i="5"/>
  <c r="M19" i="5"/>
  <c r="M13" i="5"/>
  <c r="M7" i="5"/>
  <c r="M4" i="5"/>
  <c r="J21" i="5"/>
  <c r="B21" i="5"/>
  <c r="J20" i="5"/>
  <c r="B20" i="5"/>
  <c r="I19" i="5"/>
  <c r="H19" i="5"/>
  <c r="G19" i="5"/>
  <c r="F19" i="5"/>
  <c r="E19" i="5"/>
  <c r="D19" i="5"/>
  <c r="B19" i="5"/>
  <c r="J18" i="5"/>
  <c r="B18" i="5"/>
  <c r="I17" i="5"/>
  <c r="V17" i="5" s="1"/>
  <c r="H17" i="5"/>
  <c r="U17" i="5" s="1"/>
  <c r="G17" i="5"/>
  <c r="T17" i="5" s="1"/>
  <c r="F17" i="5"/>
  <c r="J17" i="5" s="1"/>
  <c r="B17" i="5"/>
  <c r="I16" i="5"/>
  <c r="V16" i="5" s="1"/>
  <c r="H16" i="5"/>
  <c r="U16" i="5" s="1"/>
  <c r="G16" i="5"/>
  <c r="T16" i="5" s="1"/>
  <c r="F16" i="5"/>
  <c r="B16" i="5"/>
  <c r="I15" i="5"/>
  <c r="V15" i="5" s="1"/>
  <c r="H15" i="5"/>
  <c r="U15" i="5" s="1"/>
  <c r="G15" i="5"/>
  <c r="T15" i="5" s="1"/>
  <c r="F15" i="5"/>
  <c r="J15" i="5" s="1"/>
  <c r="B15" i="5"/>
  <c r="I14" i="5"/>
  <c r="H14" i="5"/>
  <c r="U14" i="5" s="1"/>
  <c r="G14" i="5"/>
  <c r="T14" i="5" s="1"/>
  <c r="F14" i="5"/>
  <c r="S14" i="5" s="1"/>
  <c r="B14" i="5"/>
  <c r="E13" i="5"/>
  <c r="D13" i="5"/>
  <c r="B13" i="5"/>
  <c r="J12" i="5"/>
  <c r="B12" i="5"/>
  <c r="I11" i="5"/>
  <c r="V11" i="5" s="1"/>
  <c r="H11" i="5"/>
  <c r="U11" i="5" s="1"/>
  <c r="G11" i="5"/>
  <c r="T11" i="5" s="1"/>
  <c r="F11" i="5"/>
  <c r="S11" i="5" s="1"/>
  <c r="B11" i="5"/>
  <c r="I10" i="5"/>
  <c r="V10" i="5" s="1"/>
  <c r="H10" i="5"/>
  <c r="U10" i="5" s="1"/>
  <c r="G10" i="5"/>
  <c r="T10" i="5" s="1"/>
  <c r="F10" i="5"/>
  <c r="S10" i="5" s="1"/>
  <c r="B10" i="5"/>
  <c r="I9" i="5"/>
  <c r="V9" i="5" s="1"/>
  <c r="H9" i="5"/>
  <c r="U9" i="5" s="1"/>
  <c r="G9" i="5"/>
  <c r="F9" i="5"/>
  <c r="B9" i="5"/>
  <c r="I8" i="5"/>
  <c r="V8" i="5" s="1"/>
  <c r="H8" i="5"/>
  <c r="U8" i="5" s="1"/>
  <c r="G8" i="5"/>
  <c r="T8" i="5" s="1"/>
  <c r="F8" i="5"/>
  <c r="S8" i="5" s="1"/>
  <c r="B8" i="5"/>
  <c r="E7" i="5"/>
  <c r="D7" i="5"/>
  <c r="B7" i="5"/>
  <c r="J6" i="5"/>
  <c r="R6" i="5" s="1"/>
  <c r="B6" i="5"/>
  <c r="E5" i="5"/>
  <c r="H5" i="5" s="1"/>
  <c r="H4" i="5" s="1"/>
  <c r="D5" i="5"/>
  <c r="F5" i="5" s="1"/>
  <c r="S5" i="5" s="1"/>
  <c r="B5" i="5"/>
  <c r="B4" i="5"/>
  <c r="R15" i="5" l="1"/>
  <c r="N26" i="5"/>
  <c r="R20" i="5"/>
  <c r="R17" i="5"/>
  <c r="V19" i="5"/>
  <c r="S15" i="5"/>
  <c r="U4" i="5"/>
  <c r="S19" i="5"/>
  <c r="G5" i="5"/>
  <c r="W15" i="5"/>
  <c r="T19" i="5"/>
  <c r="W17" i="5"/>
  <c r="D4" i="5"/>
  <c r="W18" i="5"/>
  <c r="I13" i="5"/>
  <c r="V13" i="5" s="1"/>
  <c r="E4" i="5"/>
  <c r="U19" i="5"/>
  <c r="J9" i="5"/>
  <c r="R9" i="5" s="1"/>
  <c r="U22" i="5"/>
  <c r="G7" i="5"/>
  <c r="T7" i="5" s="1"/>
  <c r="J8" i="5"/>
  <c r="W8" i="5" s="1"/>
  <c r="J16" i="5"/>
  <c r="R16" i="5" s="1"/>
  <c r="W20" i="5"/>
  <c r="W21" i="5"/>
  <c r="S16" i="5"/>
  <c r="J10" i="5"/>
  <c r="W10" i="5" s="1"/>
  <c r="J14" i="5"/>
  <c r="W14" i="5" s="1"/>
  <c r="S17" i="5"/>
  <c r="I5" i="5"/>
  <c r="J5" i="5" s="1"/>
  <c r="H13" i="5"/>
  <c r="U13" i="5" s="1"/>
  <c r="U5" i="5"/>
  <c r="J11" i="5"/>
  <c r="R11" i="5" s="1"/>
  <c r="R12" i="5"/>
  <c r="H7" i="5"/>
  <c r="U7" i="5" s="1"/>
  <c r="J19" i="5"/>
  <c r="S9" i="5"/>
  <c r="V14" i="5"/>
  <c r="T9" i="5"/>
  <c r="V22" i="5"/>
  <c r="M24" i="5"/>
  <c r="S22" i="5" s="1"/>
  <c r="T22" i="5"/>
  <c r="R18" i="5"/>
  <c r="W12" i="5"/>
  <c r="W6" i="5"/>
  <c r="Q13" i="5"/>
  <c r="R21" i="5"/>
  <c r="R19" i="5" s="1"/>
  <c r="Q19" i="5"/>
  <c r="M26" i="5"/>
  <c r="Q7" i="5"/>
  <c r="F4" i="5"/>
  <c r="S4" i="5" s="1"/>
  <c r="F13" i="5"/>
  <c r="S13" i="5" s="1"/>
  <c r="I7" i="5"/>
  <c r="G13" i="5"/>
  <c r="F7" i="5"/>
  <c r="S7" i="5" s="1"/>
  <c r="R24" i="5" l="1"/>
  <c r="N25" i="5"/>
  <c r="T25" i="5" s="1"/>
  <c r="T26" i="5"/>
  <c r="Q26" i="5"/>
  <c r="W22" i="5"/>
  <c r="W9" i="5"/>
  <c r="P25" i="5"/>
  <c r="T5" i="5"/>
  <c r="G4" i="5"/>
  <c r="T4" i="5" s="1"/>
  <c r="T13" i="5"/>
  <c r="R8" i="5"/>
  <c r="O25" i="5"/>
  <c r="R5" i="5"/>
  <c r="R4" i="5" s="1"/>
  <c r="W5" i="5"/>
  <c r="M25" i="5"/>
  <c r="H25" i="5"/>
  <c r="S24" i="5"/>
  <c r="R10" i="5"/>
  <c r="J7" i="5"/>
  <c r="W7" i="5" s="1"/>
  <c r="W11" i="5"/>
  <c r="W19" i="5"/>
  <c r="I4" i="5"/>
  <c r="V4" i="5" s="1"/>
  <c r="V5" i="5"/>
  <c r="R14" i="5"/>
  <c r="R13" i="5" s="1"/>
  <c r="V7" i="5"/>
  <c r="W16" i="5"/>
  <c r="Q25" i="5"/>
  <c r="J13" i="5"/>
  <c r="W13" i="5" s="1"/>
  <c r="F25" i="5"/>
  <c r="R7" i="5" l="1"/>
  <c r="R26" i="5"/>
  <c r="R25" i="5" s="1"/>
  <c r="S25" i="5"/>
  <c r="G25" i="5"/>
  <c r="S26" i="5"/>
  <c r="J4" i="5"/>
  <c r="W4" i="5" s="1"/>
  <c r="I25" i="5"/>
</calcChain>
</file>

<file path=xl/sharedStrings.xml><?xml version="1.0" encoding="utf-8"?>
<sst xmlns="http://schemas.openxmlformats.org/spreadsheetml/2006/main" count="103" uniqueCount="57">
  <si>
    <r>
      <t xml:space="preserve">Tootetiim 
       </t>
    </r>
    <r>
      <rPr>
        <sz val="11"/>
        <color theme="0"/>
        <rFont val="Raleway Regular"/>
      </rPr>
      <t>Investeeringu täpsustus</t>
    </r>
  </si>
  <si>
    <t>Initsiatiivi staatus***</t>
  </si>
  <si>
    <t>Märkus</t>
  </si>
  <si>
    <t>Tööjõukulu kokku (PEX)</t>
  </si>
  <si>
    <t>Investeering (CAPEX)</t>
  </si>
  <si>
    <t>KOKKU (kvartali kaupa)</t>
  </si>
  <si>
    <t>FC*</t>
  </si>
  <si>
    <t xml:space="preserve">
*Eesmärgiga viia finantsjuhtimine ning selle toetavad arendustööd võimalikult täpseks, on rakendatud kvartaalne valideerimine vastu aasta prognoosi. Kasutusel on järgnevad lühendid: FC - prognoos, ACT - Actual, ehk reaalne täitmine, kinnitatud arvete ja väljamakstud palkade põhjal. RFC - Rolling Forecast, ehk prognoos, mis on täpsustatud olemasolevaid tingimusi arvestades.
**Eelarvestatud tööjõukulu hõlmab personali, kes on määratud konkreetse asutuse juhtimiseks seotud toodetele, kuid ei ole veel ühegi projekti koosseisus planeeritud.</t>
  </si>
  <si>
    <t>***Initsaitiivid, mille staatus on "Kinnitatud, kuid ootel", "Idee",  "Pausil"  või "Tühistatud" alt kulusid ei tehta ning nende eelarve ridu ei tohi kasutada. Iga kvaratali alguses otsustatakse tuginedes arendusportfelli prioriteetidele, eelarve kasutusele ja eelarve võimalustele, kas ja milliste initsiatiividega  alustatakse</t>
  </si>
  <si>
    <t>II PA (KM-ta)</t>
  </si>
  <si>
    <t>I PA (KM-ta)</t>
  </si>
  <si>
    <t>Kvartal 1 (eelarvestatud, KM-ga €)</t>
  </si>
  <si>
    <t>Kvartal 2 (eelarvestatud, KM-ga €)</t>
  </si>
  <si>
    <t>Kvartal 3 (eelarvestatud, KM-ga €)</t>
  </si>
  <si>
    <t>Kvartal 4 (eelarvestatud, KM-ga €)</t>
  </si>
  <si>
    <t>Kinnitatud</t>
  </si>
  <si>
    <t>Lisa 4 – TIS arendusprojektide loetelu ja eelarve</t>
  </si>
  <si>
    <t xml:space="preserve"> Teabekeskus</t>
  </si>
  <si>
    <t>PROJ-5168  EST2EHDS - Terviseandmeruum teiseseks kasutamiseks 2026(OF 10%)</t>
  </si>
  <si>
    <t>INNO26 – EST2EHDS</t>
  </si>
  <si>
    <t>Eelarvestatud tootetiim, TEHIK tööjõukulu** (tooteomanik 0,8FTE)</t>
  </si>
  <si>
    <t>upTIS baasplatvorm</t>
  </si>
  <si>
    <t>PROJ-5218 upTIS mikroteenuste tootestamine 2026. aastal</t>
  </si>
  <si>
    <t>INNO24 – WM mikroteenused</t>
  </si>
  <si>
    <t>PROJ-5215 AUDIT andmejälgija teenuse jätkuarendustööd</t>
  </si>
  <si>
    <t>PROJ-4236 TIS WM platvormilt digiregistratuuri teenuste ületoomine mikroteenuste platvormile</t>
  </si>
  <si>
    <t>Ootel</t>
  </si>
  <si>
    <t>PROJ-4205 TIS WM platvormilt SKA TSK teenuse üleviimine mikroteenuste platvormile</t>
  </si>
  <si>
    <t>Eelarvestatud tootetiim, TEHIK tööjõukulu** (tooteomanik 1FTE, testija 0,9FTE, arhitekt 0,15FTE, ScM 1,0FTE)</t>
  </si>
  <si>
    <t>INNO25 – TEHIK tööjõukulud</t>
  </si>
  <si>
    <t>upTIS baasteenused</t>
  </si>
  <si>
    <t>PROJ-5370 Sündmuspõhise andmevahetuse baasteenuste loomine</t>
  </si>
  <si>
    <t>INNO23 – Baasteenuste analüüs</t>
  </si>
  <si>
    <t>PROJ-5287 Andmekvaliteedi valideerimise ja kontrollimise lahenduse väljatöötamine 2026</t>
  </si>
  <si>
    <t>INNO27 – Andmekvaliteet</t>
  </si>
  <si>
    <t>PROJ-5266 Andmete sulgemise lahenduse loomine sündmuspõhisele andmevahetusele (FHIR)</t>
  </si>
  <si>
    <t>INNO29 – Juurdepääsu moodul</t>
  </si>
  <si>
    <t>PROJ-5534 Sündmuspõhise andmevahetuse kompetentsi juhtimine ja koostöö võimestamine</t>
  </si>
  <si>
    <t>Eelarvestatud tootetiim, TEHIK tööjõukulu** (tooteomanik 1FTE)</t>
  </si>
  <si>
    <t>Andmekorraldus ja ärianalüüs</t>
  </si>
  <si>
    <t>Eelarvestatud TEHIK tööjõukulu (andmekorralduse analüütikud 1,6FTE)</t>
  </si>
  <si>
    <t>Eelarvestatud TEHIK tööjõukulu (ärianalüütik 1FTE)</t>
  </si>
  <si>
    <t>2026 eelarve kokku</t>
  </si>
  <si>
    <t>ACT</t>
  </si>
  <si>
    <t>Kvartal 1 (täitmine, KM-ga €)</t>
  </si>
  <si>
    <t>Kvartal 2 (täitmine, KM-ga €)</t>
  </si>
  <si>
    <t>Kvartal 3 (täitmine, KM-ga €)</t>
  </si>
  <si>
    <t>Kvartal 4 (täitmine, KM-ga €)</t>
  </si>
  <si>
    <t>2026 täitmine kokku (KM-ga €)</t>
  </si>
  <si>
    <t>Jääk</t>
  </si>
  <si>
    <t>Kvartal 1 (täitmine %)</t>
  </si>
  <si>
    <t>Kvartal 2 (täitmine %)</t>
  </si>
  <si>
    <t>Kvartal 3 (täitmine %)</t>
  </si>
  <si>
    <t>Kvartal 4 (täitmine %)</t>
  </si>
  <si>
    <t>2026 kokku (täitmine %)</t>
  </si>
  <si>
    <t>Muud</t>
  </si>
  <si>
    <r>
      <rPr>
        <b/>
        <sz val="12"/>
        <color rgb="FFFF0000"/>
        <rFont val="Aptos Narrow"/>
        <scheme val="minor"/>
      </rPr>
      <t>UUS!</t>
    </r>
    <r>
      <rPr>
        <sz val="12"/>
        <color theme="1"/>
        <rFont val="Aptos Narrow"/>
        <family val="2"/>
        <scheme val="minor"/>
      </rPr>
      <t xml:space="preserve"> PROJ-5462 Terviseandmete pilve viimise plaani loomine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</si>
</sst>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_-&quot;€&quot;* #,##0_-;\-&quot;€&quot;* #,##0_-;_-&quot;€&quot;* &quot;-&quot;??_-;_-@_-"/>
  </numFmts>
  <fonts count="39">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b/>
      <sz val="16"/>
      <color theme="3"/>
      <name val="Raleway Regular"/>
    </font>
    <font>
      <sz val="11"/>
      <name val="Aptos Narrow"/>
      <family val="2"/>
      <charset val="186"/>
      <scheme val="minor"/>
    </font>
    <font>
      <sz val="11"/>
      <color theme="1"/>
      <name val="Aptos Narrow"/>
      <scheme val="minor"/>
    </font>
    <font>
      <sz val="14"/>
      <color theme="1"/>
      <name val="Raleway Regular"/>
    </font>
    <font>
      <i/>
      <sz val="11"/>
      <color theme="1"/>
      <name val="Aptos Narrow"/>
      <family val="2"/>
      <charset val="186"/>
      <scheme val="minor"/>
    </font>
    <font>
      <b/>
      <sz val="11"/>
      <color theme="0"/>
      <name val="Raleway Regular"/>
    </font>
    <font>
      <sz val="11"/>
      <color theme="0"/>
      <name val="Raleway Regular"/>
    </font>
    <font>
      <b/>
      <sz val="12"/>
      <color theme="0"/>
      <name val="Raleway Regular"/>
      <charset val="186"/>
    </font>
    <font>
      <b/>
      <sz val="11"/>
      <name val="Raleway Regular"/>
      <charset val="186"/>
    </font>
    <font>
      <sz val="11"/>
      <color theme="1"/>
      <name val="Raleway Regular"/>
    </font>
    <font>
      <b/>
      <sz val="11"/>
      <color theme="1"/>
      <name val="Raleway Regular"/>
      <charset val="186"/>
    </font>
    <font>
      <b/>
      <sz val="12"/>
      <color theme="4"/>
      <name val="Raleway Regular"/>
    </font>
    <font>
      <b/>
      <sz val="12"/>
      <color theme="1"/>
      <name val="Aptos Narrow"/>
      <scheme val="minor"/>
    </font>
    <font>
      <i/>
      <sz val="11"/>
      <name val="Raleway Regular"/>
    </font>
    <font>
      <sz val="11"/>
      <name val="Raleway Regular"/>
    </font>
    <font>
      <i/>
      <sz val="11"/>
      <name val="Raleway Regular"/>
      <charset val="186"/>
    </font>
    <font>
      <b/>
      <i/>
      <sz val="11"/>
      <name val="Raleway Regular"/>
      <charset val="186"/>
    </font>
    <font>
      <b/>
      <sz val="11"/>
      <color theme="2" tint="-0.749992370372631"/>
      <name val="Raleway Regular"/>
      <charset val="186"/>
    </font>
    <font>
      <sz val="12"/>
      <name val="Aptos Narrow"/>
      <family val="2"/>
      <scheme val="minor"/>
    </font>
    <font>
      <b/>
      <sz val="12"/>
      <color rgb="FFFF0000"/>
      <name val="Aptos Narrow"/>
      <scheme val="minor"/>
    </font>
    <font>
      <sz val="12"/>
      <color theme="1"/>
      <name val="Aptos Narrow"/>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tint="0.79998168889431442"/>
      </patternFill>
    </fill>
    <fill>
      <patternFill patternType="solid">
        <fgColor theme="4"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4" tint="0.39997558519241921"/>
      </bottom>
      <diagonal/>
    </border>
    <border>
      <left/>
      <right/>
      <top style="thin">
        <color theme="4" tint="0.39997558519241921"/>
      </top>
      <bottom/>
      <diagonal/>
    </border>
    <border>
      <left/>
      <right/>
      <top style="thin">
        <color theme="4" tint="0.39997558519241921"/>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9">
    <xf numFmtId="0" fontId="0" fillId="0" borderId="0" xfId="0"/>
    <xf numFmtId="164" fontId="0" fillId="0" borderId="0" xfId="0" applyNumberFormat="1"/>
    <xf numFmtId="0" fontId="0" fillId="0" borderId="0" xfId="0" applyAlignment="1">
      <alignment horizontal="left" indent="2"/>
    </xf>
    <xf numFmtId="0" fontId="18" fillId="0" borderId="0" xfId="0" applyFont="1" applyAlignment="1">
      <alignment vertical="center" wrapText="1"/>
    </xf>
    <xf numFmtId="0" fontId="20" fillId="0" borderId="0" xfId="0" applyFont="1" applyAlignment="1">
      <alignment wrapText="1"/>
    </xf>
    <xf numFmtId="0" fontId="21" fillId="0" borderId="0" xfId="0" applyFont="1" applyAlignment="1">
      <alignment vertical="center"/>
    </xf>
    <xf numFmtId="0" fontId="22" fillId="0" borderId="0" xfId="0" applyFont="1"/>
    <xf numFmtId="0" fontId="23" fillId="33" borderId="10" xfId="0" applyFont="1" applyFill="1" applyBorder="1" applyAlignment="1">
      <alignment vertical="center" wrapText="1"/>
    </xf>
    <xf numFmtId="0" fontId="23" fillId="33" borderId="10" xfId="0" applyFont="1" applyFill="1" applyBorder="1" applyAlignment="1">
      <alignment horizontal="center" vertical="center" wrapText="1"/>
    </xf>
    <xf numFmtId="0" fontId="25" fillId="33" borderId="10" xfId="0" applyFont="1" applyFill="1" applyBorder="1" applyAlignment="1">
      <alignment horizontal="center" vertical="center" wrapText="1"/>
    </xf>
    <xf numFmtId="0" fontId="23" fillId="33" borderId="0" xfId="0" applyFont="1" applyFill="1" applyAlignment="1">
      <alignment horizontal="left" vertical="center"/>
    </xf>
    <xf numFmtId="165" fontId="23" fillId="33" borderId="0" xfId="0" applyNumberFormat="1" applyFont="1" applyFill="1" applyAlignment="1">
      <alignment vertical="center"/>
    </xf>
    <xf numFmtId="49" fontId="23" fillId="33" borderId="0" xfId="0" applyNumberFormat="1" applyFont="1" applyFill="1" applyAlignment="1">
      <alignment vertical="center"/>
    </xf>
    <xf numFmtId="0" fontId="23" fillId="33" borderId="11" xfId="0" applyFont="1" applyFill="1" applyBorder="1" applyAlignment="1">
      <alignment horizontal="left" vertical="center"/>
    </xf>
    <xf numFmtId="165" fontId="23" fillId="33" borderId="11" xfId="0" applyNumberFormat="1" applyFont="1" applyFill="1" applyBorder="1" applyAlignment="1">
      <alignment vertical="center"/>
    </xf>
    <xf numFmtId="49" fontId="23" fillId="33" borderId="11" xfId="0" applyNumberFormat="1" applyFont="1" applyFill="1" applyBorder="1" applyAlignment="1">
      <alignment vertical="center"/>
    </xf>
    <xf numFmtId="0" fontId="23" fillId="33" borderId="12" xfId="0" applyFont="1" applyFill="1" applyBorder="1" applyAlignment="1">
      <alignment horizontal="left" vertical="center"/>
    </xf>
    <xf numFmtId="165" fontId="23" fillId="33" borderId="12" xfId="0" applyNumberFormat="1" applyFont="1" applyFill="1" applyBorder="1" applyAlignment="1">
      <alignment vertical="center"/>
    </xf>
    <xf numFmtId="49" fontId="23" fillId="33" borderId="12" xfId="0" applyNumberFormat="1" applyFont="1" applyFill="1" applyBorder="1" applyAlignment="1">
      <alignment vertical="center"/>
    </xf>
    <xf numFmtId="0" fontId="27" fillId="0" borderId="0" xfId="0" applyFont="1"/>
    <xf numFmtId="165" fontId="27" fillId="0" borderId="0" xfId="0" applyNumberFormat="1" applyFont="1"/>
    <xf numFmtId="0" fontId="28" fillId="0" borderId="0" xfId="0" applyFont="1"/>
    <xf numFmtId="1" fontId="27" fillId="0" borderId="0" xfId="0" applyNumberFormat="1" applyFont="1"/>
    <xf numFmtId="0" fontId="21" fillId="0" borderId="0" xfId="0" applyFont="1" applyAlignment="1">
      <alignment vertical="center" wrapText="1"/>
    </xf>
    <xf numFmtId="0" fontId="29" fillId="0" borderId="0" xfId="0" applyFont="1" applyAlignment="1">
      <alignment horizontal="center" vertical="center"/>
    </xf>
    <xf numFmtId="164" fontId="0" fillId="34" borderId="0" xfId="0" applyNumberFormat="1" applyFill="1"/>
    <xf numFmtId="0" fontId="16" fillId="34" borderId="0" xfId="0" applyFont="1" applyFill="1" applyAlignment="1">
      <alignment horizontal="left" indent="1"/>
    </xf>
    <xf numFmtId="164" fontId="30" fillId="34" borderId="0" xfId="0" applyNumberFormat="1" applyFont="1" applyFill="1"/>
    <xf numFmtId="164" fontId="16" fillId="34" borderId="0" xfId="0" applyNumberFormat="1" applyFont="1" applyFill="1"/>
    <xf numFmtId="49" fontId="26" fillId="34" borderId="0" xfId="0" applyNumberFormat="1" applyFont="1" applyFill="1" applyAlignment="1">
      <alignment horizontal="center" vertical="center"/>
    </xf>
    <xf numFmtId="49" fontId="31" fillId="0" borderId="0" xfId="0" applyNumberFormat="1" applyFont="1" applyAlignment="1">
      <alignment horizontal="center" vertical="center"/>
    </xf>
    <xf numFmtId="0" fontId="27" fillId="0" borderId="0" xfId="0" applyFont="1" applyAlignment="1">
      <alignment vertical="center"/>
    </xf>
    <xf numFmtId="0" fontId="0" fillId="0" borderId="0" xfId="0" applyAlignment="1">
      <alignment horizontal="left" wrapText="1" indent="2"/>
    </xf>
    <xf numFmtId="164" fontId="0" fillId="0" borderId="0" xfId="0" applyNumberFormat="1" applyAlignment="1">
      <alignment vertical="center"/>
    </xf>
    <xf numFmtId="49" fontId="33" fillId="0" borderId="0" xfId="0" applyNumberFormat="1" applyFont="1" applyAlignment="1">
      <alignment horizontal="center" vertical="center"/>
    </xf>
    <xf numFmtId="49" fontId="32" fillId="0" borderId="0" xfId="0" applyNumberFormat="1" applyFont="1" applyAlignment="1">
      <alignment horizontal="left" vertical="center"/>
    </xf>
    <xf numFmtId="49" fontId="34" fillId="34" borderId="0" xfId="0" applyNumberFormat="1" applyFont="1" applyFill="1" applyAlignment="1">
      <alignment horizontal="center" vertical="center"/>
    </xf>
    <xf numFmtId="164" fontId="27" fillId="0" borderId="0" xfId="0" applyNumberFormat="1" applyFont="1"/>
    <xf numFmtId="9" fontId="35" fillId="34" borderId="10" xfId="42" applyFont="1" applyFill="1" applyBorder="1" applyAlignment="1">
      <alignment vertical="center"/>
    </xf>
    <xf numFmtId="9" fontId="0" fillId="0" borderId="0" xfId="42" applyFont="1"/>
    <xf numFmtId="9" fontId="30" fillId="34" borderId="0" xfId="42" applyFont="1" applyFill="1"/>
    <xf numFmtId="9" fontId="16" fillId="34" borderId="0" xfId="42" applyFont="1" applyFill="1"/>
    <xf numFmtId="164" fontId="22" fillId="0" borderId="0" xfId="0" applyNumberFormat="1" applyFont="1"/>
    <xf numFmtId="164" fontId="36" fillId="0" borderId="0" xfId="0" applyNumberFormat="1" applyFont="1"/>
    <xf numFmtId="9" fontId="23" fillId="33" borderId="0" xfId="42" applyFont="1" applyFill="1" applyAlignment="1">
      <alignment vertical="center"/>
    </xf>
    <xf numFmtId="9" fontId="23" fillId="33" borderId="11" xfId="42" applyFont="1" applyFill="1" applyBorder="1" applyAlignment="1">
      <alignment vertical="center"/>
    </xf>
    <xf numFmtId="9" fontId="23" fillId="33" borderId="12" xfId="42" applyFont="1" applyFill="1" applyBorder="1" applyAlignment="1">
      <alignment vertical="center"/>
    </xf>
    <xf numFmtId="0" fontId="38" fillId="0" borderId="0" xfId="0" applyFont="1" applyAlignment="1">
      <alignment horizontal="left" indent="2"/>
    </xf>
    <xf numFmtId="0" fontId="19" fillId="0" borderId="0" xfId="0" applyFont="1" applyAlignment="1">
      <alignment horizontal="left" vertical="center" wrapText="1"/>
    </xf>
  </cellXfs>
  <cellStyles count="43">
    <cellStyle name="20% – rõhk1" xfId="19" builtinId="30" customBuiltin="1"/>
    <cellStyle name="20% – rõhk2" xfId="23" builtinId="34" customBuiltin="1"/>
    <cellStyle name="20% – rõhk3" xfId="27" builtinId="38" customBuiltin="1"/>
    <cellStyle name="20% – rõhk4" xfId="31" builtinId="42" customBuiltin="1"/>
    <cellStyle name="20% – rõhk5" xfId="35" builtinId="46" customBuiltin="1"/>
    <cellStyle name="20% – rõhk6" xfId="39" builtinId="50" customBuiltin="1"/>
    <cellStyle name="40% – rõhk1" xfId="20" builtinId="31" customBuiltin="1"/>
    <cellStyle name="40% – rõhk2" xfId="24" builtinId="35" customBuiltin="1"/>
    <cellStyle name="40% – rõhk3" xfId="28" builtinId="39" customBuiltin="1"/>
    <cellStyle name="40% – rõhk4" xfId="32" builtinId="43" customBuiltin="1"/>
    <cellStyle name="40% – rõhk5" xfId="36" builtinId="47" customBuiltin="1"/>
    <cellStyle name="40% – rõhk6" xfId="40" builtinId="51" customBuiltin="1"/>
    <cellStyle name="60% – rõhk1" xfId="21" builtinId="32" customBuiltin="1"/>
    <cellStyle name="60% – rõhk2" xfId="25" builtinId="36" customBuiltin="1"/>
    <cellStyle name="60% – rõhk3" xfId="29" builtinId="40" customBuiltin="1"/>
    <cellStyle name="60% – rõhk4" xfId="33" builtinId="44" customBuiltin="1"/>
    <cellStyle name="60% – rõhk5" xfId="37" builtinId="48" customBuiltin="1"/>
    <cellStyle name="60% – rõhk6" xfId="41" builtinId="52" customBuiltin="1"/>
    <cellStyle name="Arvutus" xfId="11" builtinId="22" customBuiltin="1"/>
    <cellStyle name="Halb" xfId="7" builtinId="27" customBuiltin="1"/>
    <cellStyle name="Hea" xfId="6" builtinId="26" customBuiltin="1"/>
    <cellStyle name="Hoiatuse tekst" xfId="14" builtinId="11" customBuiltin="1"/>
    <cellStyle name="Kokku" xfId="17" builtinId="25" customBuiltin="1"/>
    <cellStyle name="Kontrolli lahtrit" xfId="13" builtinId="23" customBuiltin="1"/>
    <cellStyle name="Lingitud lahter" xfId="12" builtinId="24" customBuiltin="1"/>
    <cellStyle name="Märkus" xfId="15" builtinId="10" customBuiltin="1"/>
    <cellStyle name="Neutraalne" xfId="8" builtinId="28" customBuiltin="1"/>
    <cellStyle name="Normaallaad" xfId="0" builtinId="0"/>
    <cellStyle name="Pealkiri 1" xfId="2" builtinId="16" customBuiltin="1"/>
    <cellStyle name="Pealkiri 2" xfId="3" builtinId="17" customBuiltin="1"/>
    <cellStyle name="Pealkiri 3" xfId="4" builtinId="18" customBuiltin="1"/>
    <cellStyle name="Pealkiri 4" xfId="5" builtinId="19" customBuiltin="1"/>
    <cellStyle name="Protsent" xfId="42" builtinId="5"/>
    <cellStyle name="Rõhk1" xfId="18" builtinId="29" customBuiltin="1"/>
    <cellStyle name="Rõhk2" xfId="22" builtinId="33" customBuiltin="1"/>
    <cellStyle name="Rõhk3" xfId="26" builtinId="37" customBuiltin="1"/>
    <cellStyle name="Rõhk4" xfId="30" builtinId="41" customBuiltin="1"/>
    <cellStyle name="Rõhk5" xfId="34" builtinId="45" customBuiltin="1"/>
    <cellStyle name="Rõhk6" xfId="38" builtinId="49" customBuiltin="1"/>
    <cellStyle name="Selgitav tekst" xfId="16" builtinId="53" customBuiltin="1"/>
    <cellStyle name="Sisend" xfId="9" builtinId="20" customBuiltin="1"/>
    <cellStyle name="Väljund" xfId="10" builtinId="21" customBuiltin="1"/>
    <cellStyle name="Üldpealkiri" xfId="1"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D036F-43F2-4B2C-A32A-4CF8A839A58D}">
  <dimension ref="A1:Y36"/>
  <sheetViews>
    <sheetView tabSelected="1" zoomScaleNormal="100" workbookViewId="0">
      <selection activeCell="N23" sqref="N23"/>
    </sheetView>
  </sheetViews>
  <sheetFormatPr defaultColWidth="8.81640625" defaultRowHeight="15.6"/>
  <cols>
    <col min="1" max="1" width="4" customWidth="1"/>
    <col min="2" max="2" width="6.6328125" hidden="1" customWidth="1"/>
    <col min="3" max="3" width="94.6328125" style="19" customWidth="1"/>
    <col min="4" max="4" width="15.1796875" style="19" hidden="1" customWidth="1"/>
    <col min="5" max="5" width="18" style="19" hidden="1" customWidth="1"/>
    <col min="6" max="10" width="16.36328125" style="19" customWidth="1"/>
    <col min="11" max="11" width="19.453125" style="19" hidden="1" customWidth="1"/>
    <col min="12" max="12" width="45.36328125" style="6" hidden="1" customWidth="1"/>
    <col min="13" max="13" width="15.81640625" style="19" customWidth="1"/>
    <col min="14" max="14" width="16.36328125" style="19" customWidth="1"/>
    <col min="15" max="16" width="16.36328125" style="19" hidden="1" customWidth="1"/>
    <col min="17" max="18" width="16.36328125" style="19" customWidth="1"/>
    <col min="19" max="19" width="12.81640625" style="19" customWidth="1"/>
    <col min="20" max="20" width="10.6328125" customWidth="1"/>
    <col min="21" max="21" width="10.453125" hidden="1" customWidth="1"/>
    <col min="22" max="22" width="10.81640625" hidden="1" customWidth="1"/>
    <col min="23" max="23" width="10.81640625" customWidth="1"/>
    <col min="24" max="24" width="31" customWidth="1"/>
  </cols>
  <sheetData>
    <row r="1" spans="1:25" ht="96" customHeight="1">
      <c r="C1" s="3" t="s">
        <v>16</v>
      </c>
      <c r="D1" s="3"/>
      <c r="E1" s="3"/>
      <c r="F1" s="48" t="s">
        <v>7</v>
      </c>
      <c r="G1" s="48"/>
      <c r="H1" s="48"/>
      <c r="I1" s="48"/>
      <c r="J1" s="48"/>
      <c r="K1" s="48"/>
      <c r="L1" s="4" t="s">
        <v>8</v>
      </c>
      <c r="M1"/>
      <c r="N1"/>
      <c r="O1"/>
      <c r="P1"/>
      <c r="Q1"/>
      <c r="R1"/>
      <c r="S1"/>
    </row>
    <row r="2" spans="1:25" ht="17.399999999999999">
      <c r="C2" s="23"/>
      <c r="D2" s="23"/>
      <c r="E2" s="23"/>
      <c r="F2" s="24" t="s">
        <v>6</v>
      </c>
      <c r="G2" s="24" t="s">
        <v>6</v>
      </c>
      <c r="H2" s="24" t="s">
        <v>6</v>
      </c>
      <c r="I2" s="24" t="s">
        <v>6</v>
      </c>
      <c r="J2" s="24" t="s">
        <v>6</v>
      </c>
      <c r="K2" s="5"/>
      <c r="M2" s="24" t="s">
        <v>43</v>
      </c>
      <c r="N2" s="24" t="s">
        <v>43</v>
      </c>
      <c r="O2" s="24" t="s">
        <v>43</v>
      </c>
      <c r="P2" s="24" t="s">
        <v>43</v>
      </c>
      <c r="Q2" s="24" t="s">
        <v>43</v>
      </c>
      <c r="R2" s="24" t="s">
        <v>43</v>
      </c>
      <c r="S2" s="24" t="s">
        <v>43</v>
      </c>
      <c r="T2" s="24" t="s">
        <v>43</v>
      </c>
      <c r="U2" s="24" t="s">
        <v>43</v>
      </c>
      <c r="V2" s="24" t="s">
        <v>43</v>
      </c>
      <c r="W2" s="24" t="s">
        <v>43</v>
      </c>
    </row>
    <row r="3" spans="1:25" ht="41.4">
      <c r="C3" s="7" t="s">
        <v>0</v>
      </c>
      <c r="D3" s="8" t="s">
        <v>10</v>
      </c>
      <c r="E3" s="8" t="s">
        <v>9</v>
      </c>
      <c r="F3" s="8" t="s">
        <v>11</v>
      </c>
      <c r="G3" s="8" t="s">
        <v>12</v>
      </c>
      <c r="H3" s="8" t="s">
        <v>13</v>
      </c>
      <c r="I3" s="8" t="s">
        <v>14</v>
      </c>
      <c r="J3" s="9" t="s">
        <v>42</v>
      </c>
      <c r="K3" s="8" t="s">
        <v>1</v>
      </c>
      <c r="L3" s="8" t="s">
        <v>2</v>
      </c>
      <c r="M3" s="8" t="s">
        <v>44</v>
      </c>
      <c r="N3" s="8" t="s">
        <v>45</v>
      </c>
      <c r="O3" s="8" t="s">
        <v>46</v>
      </c>
      <c r="P3" s="8" t="s">
        <v>47</v>
      </c>
      <c r="Q3" s="8" t="s">
        <v>48</v>
      </c>
      <c r="R3" s="8" t="s">
        <v>49</v>
      </c>
      <c r="S3" s="8" t="s">
        <v>50</v>
      </c>
      <c r="T3" s="8" t="s">
        <v>51</v>
      </c>
      <c r="U3" s="8" t="s">
        <v>52</v>
      </c>
      <c r="V3" s="8" t="s">
        <v>53</v>
      </c>
      <c r="W3" s="8" t="s">
        <v>54</v>
      </c>
      <c r="X3" s="8" t="s">
        <v>2</v>
      </c>
    </row>
    <row r="4" spans="1:25" s="6" customFormat="1">
      <c r="A4"/>
      <c r="B4" s="25" t="b">
        <f t="shared" ref="B4:B21" si="0">ISNUMBER(SEARCH("tööjõukulu",C4,1))</f>
        <v>0</v>
      </c>
      <c r="C4" s="26" t="s">
        <v>17</v>
      </c>
      <c r="D4" s="27">
        <f>D5</f>
        <v>22250</v>
      </c>
      <c r="E4" s="27">
        <f t="shared" ref="E4" si="1">E5</f>
        <v>22250</v>
      </c>
      <c r="F4" s="27">
        <f>SUM(F5:F6)</f>
        <v>31700.760000000002</v>
      </c>
      <c r="G4" s="27">
        <f t="shared" ref="G4:I4" si="2">SUM(G5:G6)</f>
        <v>31410.200000000004</v>
      </c>
      <c r="H4" s="27">
        <f t="shared" si="2"/>
        <v>32681.4</v>
      </c>
      <c r="I4" s="27">
        <f t="shared" si="2"/>
        <v>35389.055999999997</v>
      </c>
      <c r="J4" s="27">
        <f t="shared" ref="J4:J7" si="3">SUM(F4:I4)</f>
        <v>131181.41600000003</v>
      </c>
      <c r="K4" s="29"/>
      <c r="M4" s="27">
        <f t="shared" ref="M4:P4" si="4">SUM(M5:M6)</f>
        <v>6991.8960000000006</v>
      </c>
      <c r="N4" s="27">
        <f>SUM(N5:N6)</f>
        <v>3616</v>
      </c>
      <c r="O4" s="27">
        <f t="shared" si="4"/>
        <v>0</v>
      </c>
      <c r="P4" s="27">
        <f t="shared" si="4"/>
        <v>0</v>
      </c>
      <c r="Q4" s="27">
        <f>SUM(Q5:Q6)</f>
        <v>10607.896000000001</v>
      </c>
      <c r="R4" s="27">
        <f>SUM(R5:R6)</f>
        <v>120573.51999999999</v>
      </c>
      <c r="S4" s="38">
        <f>IFERROR(M4/F4,0)</f>
        <v>0.2205592547308014</v>
      </c>
      <c r="T4" s="38">
        <f t="shared" ref="T4:V19" si="5">IFERROR(N4/G4,0)</f>
        <v>0.11512183940248708</v>
      </c>
      <c r="U4" s="38">
        <f t="shared" si="5"/>
        <v>0</v>
      </c>
      <c r="V4" s="38">
        <f t="shared" si="5"/>
        <v>0</v>
      </c>
      <c r="W4" s="38">
        <f>IFERROR(Q4/J4,0)</f>
        <v>8.0864319988739858E-2</v>
      </c>
    </row>
    <row r="5" spans="1:25" s="6" customFormat="1">
      <c r="A5"/>
      <c r="B5" s="1" t="b">
        <f t="shared" si="0"/>
        <v>0</v>
      </c>
      <c r="C5" s="2" t="s">
        <v>18</v>
      </c>
      <c r="D5" s="1">
        <f>44500/2</f>
        <v>22250</v>
      </c>
      <c r="E5" s="1">
        <f>44500/2</f>
        <v>22250</v>
      </c>
      <c r="F5" s="1">
        <f>D5/2*1.24</f>
        <v>13795</v>
      </c>
      <c r="G5" s="1">
        <f>D5/2*1.24</f>
        <v>13795</v>
      </c>
      <c r="H5" s="1">
        <f t="shared" ref="H5" si="6">E5/2*1.24</f>
        <v>13795</v>
      </c>
      <c r="I5" s="1">
        <f t="shared" ref="I5" si="7">E5/2*1.24</f>
        <v>13795</v>
      </c>
      <c r="J5" s="1">
        <f t="shared" ref="J5:J21" si="8">SUM(F5:I5)</f>
        <v>55180</v>
      </c>
      <c r="K5" s="30" t="s">
        <v>15</v>
      </c>
      <c r="L5" s="31" t="s">
        <v>19</v>
      </c>
      <c r="M5" s="43">
        <v>620</v>
      </c>
      <c r="N5" s="1">
        <v>0</v>
      </c>
      <c r="O5" s="1"/>
      <c r="P5" s="1"/>
      <c r="Q5" s="1">
        <f>SUM(M5:P5)</f>
        <v>620</v>
      </c>
      <c r="R5" s="1">
        <f>J5-Q5</f>
        <v>54560</v>
      </c>
      <c r="S5" s="39">
        <f t="shared" ref="S5:T26" si="9">IFERROR(M5/F5,0)</f>
        <v>4.49438202247191E-2</v>
      </c>
      <c r="T5" s="39">
        <f>IFERROR(N5/G5,0)</f>
        <v>0</v>
      </c>
      <c r="U5" s="39">
        <f>IFERROR(O5/H5,0)</f>
        <v>0</v>
      </c>
      <c r="V5" s="39">
        <f>IFERROR(P5/I5,0)</f>
        <v>0</v>
      </c>
      <c r="W5" s="39">
        <f t="shared" ref="W5:W21" si="10">IFERROR(Q5/J5,0)</f>
        <v>1.1235955056179775E-2</v>
      </c>
      <c r="X5" s="31" t="s">
        <v>19</v>
      </c>
      <c r="Y5" s="42"/>
    </row>
    <row r="6" spans="1:25">
      <c r="B6" s="1" t="b">
        <f t="shared" si="0"/>
        <v>1</v>
      </c>
      <c r="C6" s="2" t="s">
        <v>20</v>
      </c>
      <c r="D6" s="1">
        <v>0</v>
      </c>
      <c r="E6" s="1">
        <v>0</v>
      </c>
      <c r="F6" s="1">
        <v>17905.760000000002</v>
      </c>
      <c r="G6" s="1">
        <v>17615.200000000004</v>
      </c>
      <c r="H6" s="1">
        <v>18886.400000000001</v>
      </c>
      <c r="I6" s="1">
        <v>21594.055999999997</v>
      </c>
      <c r="J6" s="1">
        <f t="shared" si="8"/>
        <v>76001.415999999997</v>
      </c>
      <c r="K6" s="30"/>
      <c r="L6" s="31" t="s">
        <v>19</v>
      </c>
      <c r="M6" s="1">
        <v>6371.8960000000006</v>
      </c>
      <c r="N6" s="1">
        <v>3616</v>
      </c>
      <c r="O6" s="1"/>
      <c r="P6" s="1"/>
      <c r="Q6" s="1">
        <f>SUM(M6:P6)</f>
        <v>9987.8960000000006</v>
      </c>
      <c r="R6" s="1">
        <f>J6-Q6</f>
        <v>66013.51999999999</v>
      </c>
      <c r="S6" s="39">
        <f t="shared" si="9"/>
        <v>0.35585733305930606</v>
      </c>
      <c r="T6" s="39">
        <f t="shared" si="5"/>
        <v>0.20527726054770876</v>
      </c>
      <c r="U6" s="39">
        <f t="shared" si="5"/>
        <v>0</v>
      </c>
      <c r="V6" s="39">
        <f t="shared" si="5"/>
        <v>0</v>
      </c>
      <c r="W6" s="39">
        <f t="shared" si="10"/>
        <v>0.13141723569992433</v>
      </c>
      <c r="X6" s="31" t="s">
        <v>19</v>
      </c>
      <c r="Y6" s="42"/>
    </row>
    <row r="7" spans="1:25" s="6" customFormat="1">
      <c r="A7"/>
      <c r="B7" s="25" t="b">
        <f t="shared" si="0"/>
        <v>0</v>
      </c>
      <c r="C7" s="26" t="s">
        <v>21</v>
      </c>
      <c r="D7" s="27">
        <f t="shared" ref="D7:I7" si="11">SUM(D8:D12)</f>
        <v>195000</v>
      </c>
      <c r="E7" s="27">
        <f t="shared" si="11"/>
        <v>210000</v>
      </c>
      <c r="F7" s="27">
        <f t="shared" si="11"/>
        <v>191359.56</v>
      </c>
      <c r="G7" s="27">
        <f t="shared" si="11"/>
        <v>190803.38</v>
      </c>
      <c r="H7" s="27">
        <f t="shared" si="11"/>
        <v>206463.2</v>
      </c>
      <c r="I7" s="27">
        <f t="shared" si="11"/>
        <v>204409.96000000002</v>
      </c>
      <c r="J7" s="27">
        <f t="shared" si="3"/>
        <v>793036.10000000009</v>
      </c>
      <c r="K7" s="29"/>
      <c r="M7" s="27">
        <f t="shared" ref="M7:R7" si="12">SUM(M8:M12)</f>
        <v>124258.35999999999</v>
      </c>
      <c r="N7" s="27">
        <f>SUM(N8:N12)</f>
        <v>106757.42000000001</v>
      </c>
      <c r="O7" s="27">
        <f t="shared" si="12"/>
        <v>0</v>
      </c>
      <c r="P7" s="27">
        <f t="shared" si="12"/>
        <v>0</v>
      </c>
      <c r="Q7" s="27">
        <f t="shared" si="12"/>
        <v>231015.78</v>
      </c>
      <c r="R7" s="27">
        <f t="shared" si="12"/>
        <v>562020.32000000007</v>
      </c>
      <c r="S7" s="40">
        <f t="shared" si="9"/>
        <v>0.64934492951384293</v>
      </c>
      <c r="T7" s="40">
        <f t="shared" si="5"/>
        <v>0.5595153503045911</v>
      </c>
      <c r="U7" s="40">
        <f t="shared" si="5"/>
        <v>0</v>
      </c>
      <c r="V7" s="40">
        <f t="shared" si="5"/>
        <v>0</v>
      </c>
      <c r="W7" s="40">
        <f t="shared" si="10"/>
        <v>0.29130550299034302</v>
      </c>
      <c r="Y7" s="42"/>
    </row>
    <row r="8" spans="1:25">
      <c r="B8" s="1" t="b">
        <f t="shared" si="0"/>
        <v>0</v>
      </c>
      <c r="C8" s="32" t="s">
        <v>22</v>
      </c>
      <c r="D8" s="1">
        <v>160000</v>
      </c>
      <c r="E8" s="1">
        <v>40000</v>
      </c>
      <c r="F8" s="1">
        <f t="shared" ref="F8:F11" si="13">D8/2*1.24</f>
        <v>99200</v>
      </c>
      <c r="G8" s="1">
        <f t="shared" ref="G8:H11" si="14">D8/2*1.24</f>
        <v>99200</v>
      </c>
      <c r="H8" s="1">
        <f t="shared" si="14"/>
        <v>24800</v>
      </c>
      <c r="I8" s="1">
        <f t="shared" ref="I8:I11" si="15">E8/2*1.24</f>
        <v>24800</v>
      </c>
      <c r="J8" s="33">
        <f t="shared" si="8"/>
        <v>248000</v>
      </c>
      <c r="K8" s="30" t="s">
        <v>15</v>
      </c>
      <c r="L8" s="31" t="s">
        <v>23</v>
      </c>
      <c r="M8" s="43">
        <f>40865.38+13616.76</f>
        <v>54482.14</v>
      </c>
      <c r="N8" s="1">
        <v>31760.990000000005</v>
      </c>
      <c r="O8" s="1"/>
      <c r="P8" s="1"/>
      <c r="Q8" s="1">
        <f t="shared" ref="Q8:Q12" si="16">SUM(M8:P8)</f>
        <v>86243.13</v>
      </c>
      <c r="R8" s="1">
        <f t="shared" ref="R8:R12" si="17">J8-Q8</f>
        <v>161756.87</v>
      </c>
      <c r="S8" s="39">
        <f t="shared" si="9"/>
        <v>0.54921512096774194</v>
      </c>
      <c r="T8" s="39">
        <f t="shared" si="5"/>
        <v>0.32017127016129038</v>
      </c>
      <c r="U8" s="39">
        <f t="shared" si="5"/>
        <v>0</v>
      </c>
      <c r="V8" s="39">
        <f t="shared" si="5"/>
        <v>0</v>
      </c>
      <c r="W8" s="39">
        <f t="shared" si="10"/>
        <v>0.34775455645161291</v>
      </c>
      <c r="X8" s="31" t="s">
        <v>23</v>
      </c>
      <c r="Y8" s="42"/>
    </row>
    <row r="9" spans="1:25">
      <c r="B9" s="1" t="b">
        <f t="shared" si="0"/>
        <v>0</v>
      </c>
      <c r="C9" s="2" t="s">
        <v>24</v>
      </c>
      <c r="D9" s="1">
        <v>35000</v>
      </c>
      <c r="E9" s="1">
        <v>30000</v>
      </c>
      <c r="F9" s="1">
        <f t="shared" si="13"/>
        <v>21700</v>
      </c>
      <c r="G9" s="1">
        <f t="shared" si="14"/>
        <v>21700</v>
      </c>
      <c r="H9" s="1">
        <f t="shared" si="14"/>
        <v>18600</v>
      </c>
      <c r="I9" s="1">
        <f t="shared" si="15"/>
        <v>18600</v>
      </c>
      <c r="J9" s="1">
        <f t="shared" si="8"/>
        <v>80600</v>
      </c>
      <c r="K9" s="30" t="s">
        <v>15</v>
      </c>
      <c r="L9" s="31" t="s">
        <v>23</v>
      </c>
      <c r="M9" s="43">
        <v>710.32</v>
      </c>
      <c r="N9" s="1">
        <v>8373.43</v>
      </c>
      <c r="O9" s="1"/>
      <c r="P9" s="1"/>
      <c r="Q9" s="1">
        <f t="shared" si="16"/>
        <v>9083.75</v>
      </c>
      <c r="R9" s="1">
        <f t="shared" si="17"/>
        <v>71516.25</v>
      </c>
      <c r="S9" s="39">
        <f t="shared" si="9"/>
        <v>3.2733640552995394E-2</v>
      </c>
      <c r="T9" s="39">
        <f t="shared" si="5"/>
        <v>0.38587235023041477</v>
      </c>
      <c r="U9" s="39">
        <f t="shared" si="5"/>
        <v>0</v>
      </c>
      <c r="V9" s="39">
        <f t="shared" si="5"/>
        <v>0</v>
      </c>
      <c r="W9" s="39">
        <f t="shared" si="10"/>
        <v>0.11270161290322581</v>
      </c>
      <c r="X9" s="31" t="s">
        <v>23</v>
      </c>
      <c r="Y9" s="42"/>
    </row>
    <row r="10" spans="1:25">
      <c r="B10" s="1" t="b">
        <f t="shared" si="0"/>
        <v>0</v>
      </c>
      <c r="C10" s="2" t="s">
        <v>25</v>
      </c>
      <c r="D10" s="1">
        <v>0</v>
      </c>
      <c r="E10" s="1">
        <v>40000</v>
      </c>
      <c r="F10" s="1">
        <f t="shared" si="13"/>
        <v>0</v>
      </c>
      <c r="G10" s="1">
        <f t="shared" si="14"/>
        <v>0</v>
      </c>
      <c r="H10" s="1">
        <f t="shared" si="14"/>
        <v>24800</v>
      </c>
      <c r="I10" s="1">
        <f t="shared" si="15"/>
        <v>24800</v>
      </c>
      <c r="J10" s="1">
        <f t="shared" si="8"/>
        <v>49600</v>
      </c>
      <c r="K10" s="30" t="s">
        <v>26</v>
      </c>
      <c r="L10" s="31" t="s">
        <v>23</v>
      </c>
      <c r="M10" s="1">
        <v>0</v>
      </c>
      <c r="N10" s="1">
        <v>0</v>
      </c>
      <c r="O10" s="1"/>
      <c r="P10" s="1"/>
      <c r="Q10" s="1">
        <f t="shared" si="16"/>
        <v>0</v>
      </c>
      <c r="R10" s="1">
        <f t="shared" si="17"/>
        <v>49600</v>
      </c>
      <c r="S10" s="39">
        <f t="shared" si="9"/>
        <v>0</v>
      </c>
      <c r="T10" s="39">
        <f t="shared" si="5"/>
        <v>0</v>
      </c>
      <c r="U10" s="39">
        <f t="shared" si="5"/>
        <v>0</v>
      </c>
      <c r="V10" s="39">
        <f t="shared" si="5"/>
        <v>0</v>
      </c>
      <c r="W10" s="39">
        <f t="shared" si="10"/>
        <v>0</v>
      </c>
      <c r="X10" s="31" t="s">
        <v>23</v>
      </c>
      <c r="Y10" s="42"/>
    </row>
    <row r="11" spans="1:25">
      <c r="B11" s="1" t="b">
        <f t="shared" si="0"/>
        <v>0</v>
      </c>
      <c r="C11" s="2" t="s">
        <v>27</v>
      </c>
      <c r="D11" s="1">
        <v>0</v>
      </c>
      <c r="E11" s="1">
        <v>100000</v>
      </c>
      <c r="F11" s="1">
        <f t="shared" si="13"/>
        <v>0</v>
      </c>
      <c r="G11" s="1">
        <f t="shared" si="14"/>
        <v>0</v>
      </c>
      <c r="H11" s="1">
        <f t="shared" si="14"/>
        <v>62000</v>
      </c>
      <c r="I11" s="1">
        <f t="shared" si="15"/>
        <v>62000</v>
      </c>
      <c r="J11" s="1">
        <f t="shared" si="8"/>
        <v>124000</v>
      </c>
      <c r="K11" s="30" t="s">
        <v>26</v>
      </c>
      <c r="L11" s="31" t="s">
        <v>23</v>
      </c>
      <c r="M11" s="1">
        <v>0</v>
      </c>
      <c r="N11" s="1">
        <v>0</v>
      </c>
      <c r="O11" s="1"/>
      <c r="P11" s="1"/>
      <c r="Q11" s="1">
        <f t="shared" si="16"/>
        <v>0</v>
      </c>
      <c r="R11" s="1">
        <f t="shared" si="17"/>
        <v>124000</v>
      </c>
      <c r="S11" s="39">
        <f t="shared" si="9"/>
        <v>0</v>
      </c>
      <c r="T11" s="39">
        <f t="shared" si="5"/>
        <v>0</v>
      </c>
      <c r="U11" s="39">
        <f t="shared" si="5"/>
        <v>0</v>
      </c>
      <c r="V11" s="39">
        <f t="shared" si="5"/>
        <v>0</v>
      </c>
      <c r="W11" s="39">
        <f t="shared" si="10"/>
        <v>0</v>
      </c>
      <c r="X11" s="31" t="s">
        <v>23</v>
      </c>
      <c r="Y11" s="42"/>
    </row>
    <row r="12" spans="1:25">
      <c r="B12" s="1" t="b">
        <f t="shared" si="0"/>
        <v>1</v>
      </c>
      <c r="C12" s="2" t="s">
        <v>28</v>
      </c>
      <c r="D12" s="1">
        <v>0</v>
      </c>
      <c r="E12" s="1">
        <v>0</v>
      </c>
      <c r="F12" s="1">
        <v>70459.56</v>
      </c>
      <c r="G12" s="1">
        <v>69903.37999999999</v>
      </c>
      <c r="H12" s="1">
        <v>76263.200000000012</v>
      </c>
      <c r="I12" s="1">
        <v>74209.960000000006</v>
      </c>
      <c r="J12" s="1">
        <f t="shared" si="8"/>
        <v>290836.10000000003</v>
      </c>
      <c r="K12" s="30"/>
      <c r="L12" s="31" t="s">
        <v>29</v>
      </c>
      <c r="M12" s="1">
        <v>69065.899999999994</v>
      </c>
      <c r="N12" s="1">
        <v>66623</v>
      </c>
      <c r="O12" s="1"/>
      <c r="P12" s="1"/>
      <c r="Q12" s="1">
        <f t="shared" si="16"/>
        <v>135688.9</v>
      </c>
      <c r="R12" s="1">
        <f t="shared" si="17"/>
        <v>155147.20000000004</v>
      </c>
      <c r="S12" s="39">
        <f t="shared" si="9"/>
        <v>0.98022042714998503</v>
      </c>
      <c r="T12" s="39">
        <f t="shared" si="5"/>
        <v>0.95307265542810671</v>
      </c>
      <c r="U12" s="39">
        <f t="shared" si="5"/>
        <v>0</v>
      </c>
      <c r="V12" s="39">
        <f t="shared" si="5"/>
        <v>0</v>
      </c>
      <c r="W12" s="39">
        <f t="shared" si="10"/>
        <v>0.46654765347217891</v>
      </c>
      <c r="X12" s="31" t="s">
        <v>29</v>
      </c>
      <c r="Y12" s="42"/>
    </row>
    <row r="13" spans="1:25">
      <c r="B13" s="25" t="b">
        <f t="shared" si="0"/>
        <v>0</v>
      </c>
      <c r="C13" s="26" t="s">
        <v>30</v>
      </c>
      <c r="D13" s="27">
        <f>SUM(D14:D18)</f>
        <v>389000</v>
      </c>
      <c r="E13" s="27">
        <f t="shared" ref="E13:I13" si="18">SUM(E14:E18)</f>
        <v>654685</v>
      </c>
      <c r="F13" s="27">
        <f t="shared" si="18"/>
        <v>200935.2</v>
      </c>
      <c r="G13" s="27">
        <f t="shared" si="18"/>
        <v>316519</v>
      </c>
      <c r="H13" s="27">
        <f t="shared" si="18"/>
        <v>508872.69999999995</v>
      </c>
      <c r="I13" s="27">
        <f t="shared" si="18"/>
        <v>349517.1</v>
      </c>
      <c r="J13" s="27">
        <f t="shared" ref="J13" si="19">SUM(F13:I13)</f>
        <v>1375844</v>
      </c>
      <c r="K13" s="29"/>
      <c r="L13" s="34"/>
      <c r="M13" s="27">
        <f t="shared" ref="M13" si="20">SUM(M14:M18)</f>
        <v>207296.08999999997</v>
      </c>
      <c r="N13" s="27">
        <f>SUM(N14:N18)</f>
        <v>269894.45000000007</v>
      </c>
      <c r="O13" s="27">
        <f t="shared" ref="O13:P13" si="21">SUM(O14:O18)</f>
        <v>0</v>
      </c>
      <c r="P13" s="27">
        <f t="shared" si="21"/>
        <v>0</v>
      </c>
      <c r="Q13" s="27">
        <f t="shared" ref="Q13:R13" si="22">SUM(Q14:Q18)</f>
        <v>477190.54000000004</v>
      </c>
      <c r="R13" s="27">
        <f t="shared" si="22"/>
        <v>898653.45999999985</v>
      </c>
      <c r="S13" s="40">
        <f t="shared" si="9"/>
        <v>1.0316564245587629</v>
      </c>
      <c r="T13" s="40">
        <f t="shared" si="5"/>
        <v>0.85269588871442181</v>
      </c>
      <c r="U13" s="40">
        <f t="shared" si="5"/>
        <v>0</v>
      </c>
      <c r="V13" s="40">
        <f t="shared" si="5"/>
        <v>0</v>
      </c>
      <c r="W13" s="40">
        <f t="shared" si="10"/>
        <v>0.34683477196542634</v>
      </c>
      <c r="X13" s="34"/>
      <c r="Y13" s="42"/>
    </row>
    <row r="14" spans="1:25">
      <c r="B14" s="1" t="b">
        <f t="shared" si="0"/>
        <v>0</v>
      </c>
      <c r="C14" s="2" t="s">
        <v>31</v>
      </c>
      <c r="D14" s="1">
        <v>289000</v>
      </c>
      <c r="E14" s="1">
        <v>541230</v>
      </c>
      <c r="F14" s="1">
        <f>101500*1.24</f>
        <v>125860</v>
      </c>
      <c r="G14" s="1">
        <f>187500*1.24</f>
        <v>232500</v>
      </c>
      <c r="H14" s="1">
        <f>334615*1.24</f>
        <v>414922.6</v>
      </c>
      <c r="I14" s="1">
        <f>206615*1.24</f>
        <v>256202.6</v>
      </c>
      <c r="J14" s="1">
        <f t="shared" si="8"/>
        <v>1029485.2</v>
      </c>
      <c r="K14" s="30" t="s">
        <v>15</v>
      </c>
      <c r="L14" s="35" t="s">
        <v>32</v>
      </c>
      <c r="M14" s="1">
        <v>158017.00999999998</v>
      </c>
      <c r="N14" s="1">
        <v>225404.01000000004</v>
      </c>
      <c r="O14" s="1"/>
      <c r="P14" s="1"/>
      <c r="Q14" s="1">
        <f t="shared" ref="Q14:Q18" si="23">SUM(M14:P14)</f>
        <v>383421.02</v>
      </c>
      <c r="R14" s="1">
        <f t="shared" ref="R14:R18" si="24">J14-Q14</f>
        <v>646064.17999999993</v>
      </c>
      <c r="S14" s="39">
        <f t="shared" si="9"/>
        <v>1.2554982520260605</v>
      </c>
      <c r="T14" s="39">
        <f t="shared" si="5"/>
        <v>0.96947961290322593</v>
      </c>
      <c r="U14" s="39">
        <f t="shared" si="5"/>
        <v>0</v>
      </c>
      <c r="V14" s="39">
        <f t="shared" si="5"/>
        <v>0</v>
      </c>
      <c r="W14" s="39">
        <f t="shared" si="10"/>
        <v>0.37243956493983599</v>
      </c>
      <c r="X14" s="35" t="s">
        <v>32</v>
      </c>
      <c r="Y14" s="42"/>
    </row>
    <row r="15" spans="1:25">
      <c r="B15" s="1" t="b">
        <f t="shared" si="0"/>
        <v>0</v>
      </c>
      <c r="C15" s="2" t="s">
        <v>33</v>
      </c>
      <c r="D15" s="1">
        <v>75000</v>
      </c>
      <c r="E15" s="1">
        <v>21000</v>
      </c>
      <c r="F15" s="1">
        <f t="shared" ref="F15:F17" si="25">D15/2*1.24</f>
        <v>46500</v>
      </c>
      <c r="G15" s="1">
        <f t="shared" ref="G15:H17" si="26">D15/2*1.24</f>
        <v>46500</v>
      </c>
      <c r="H15" s="1">
        <f t="shared" si="26"/>
        <v>13020</v>
      </c>
      <c r="I15" s="1">
        <f t="shared" ref="I15:I17" si="27">E15/2*1.24</f>
        <v>13020</v>
      </c>
      <c r="J15" s="1">
        <f t="shared" si="8"/>
        <v>119040</v>
      </c>
      <c r="K15" s="30" t="s">
        <v>15</v>
      </c>
      <c r="L15" s="35" t="s">
        <v>34</v>
      </c>
      <c r="M15" s="1">
        <v>36261.079999999994</v>
      </c>
      <c r="N15" s="1">
        <v>17815.080000000009</v>
      </c>
      <c r="O15" s="1"/>
      <c r="P15" s="1"/>
      <c r="Q15" s="1">
        <f t="shared" si="23"/>
        <v>54076.160000000003</v>
      </c>
      <c r="R15" s="1">
        <f t="shared" si="24"/>
        <v>64963.839999999997</v>
      </c>
      <c r="S15" s="39">
        <f t="shared" si="9"/>
        <v>0.77980817204301067</v>
      </c>
      <c r="T15" s="39">
        <f t="shared" si="5"/>
        <v>0.38312000000000018</v>
      </c>
      <c r="U15" s="39">
        <f t="shared" si="5"/>
        <v>0</v>
      </c>
      <c r="V15" s="39">
        <f t="shared" si="5"/>
        <v>0</v>
      </c>
      <c r="W15" s="39">
        <f t="shared" si="10"/>
        <v>0.45426881720430112</v>
      </c>
      <c r="X15" s="35" t="s">
        <v>34</v>
      </c>
      <c r="Y15" s="42"/>
    </row>
    <row r="16" spans="1:25">
      <c r="B16" s="1" t="b">
        <f t="shared" si="0"/>
        <v>0</v>
      </c>
      <c r="C16" s="2" t="s">
        <v>35</v>
      </c>
      <c r="D16" s="1">
        <v>0</v>
      </c>
      <c r="E16" s="1">
        <v>67455</v>
      </c>
      <c r="F16" s="1">
        <f t="shared" si="25"/>
        <v>0</v>
      </c>
      <c r="G16" s="1">
        <f t="shared" si="26"/>
        <v>0</v>
      </c>
      <c r="H16" s="1">
        <f t="shared" si="26"/>
        <v>41822.1</v>
      </c>
      <c r="I16" s="1">
        <f t="shared" si="27"/>
        <v>41822.1</v>
      </c>
      <c r="J16" s="1">
        <f t="shared" si="8"/>
        <v>83644.2</v>
      </c>
      <c r="K16" s="30" t="s">
        <v>15</v>
      </c>
      <c r="L16" s="35" t="s">
        <v>36</v>
      </c>
      <c r="M16" s="1">
        <v>0</v>
      </c>
      <c r="N16" s="1">
        <v>0</v>
      </c>
      <c r="O16" s="1"/>
      <c r="P16" s="1"/>
      <c r="Q16" s="1">
        <f t="shared" si="23"/>
        <v>0</v>
      </c>
      <c r="R16" s="1">
        <f t="shared" si="24"/>
        <v>83644.2</v>
      </c>
      <c r="S16" s="39">
        <f t="shared" si="9"/>
        <v>0</v>
      </c>
      <c r="T16" s="39">
        <f t="shared" si="5"/>
        <v>0</v>
      </c>
      <c r="U16" s="39">
        <f t="shared" si="5"/>
        <v>0</v>
      </c>
      <c r="V16" s="39">
        <f t="shared" si="5"/>
        <v>0</v>
      </c>
      <c r="W16" s="39">
        <f t="shared" si="10"/>
        <v>0</v>
      </c>
      <c r="X16" s="35" t="s">
        <v>36</v>
      </c>
      <c r="Y16" s="42"/>
    </row>
    <row r="17" spans="2:25">
      <c r="B17" s="1" t="b">
        <f t="shared" si="0"/>
        <v>0</v>
      </c>
      <c r="C17" s="2" t="s">
        <v>37</v>
      </c>
      <c r="D17" s="1">
        <v>25000</v>
      </c>
      <c r="E17" s="1">
        <v>25000</v>
      </c>
      <c r="F17" s="1">
        <f t="shared" si="25"/>
        <v>15500</v>
      </c>
      <c r="G17" s="1">
        <f t="shared" si="26"/>
        <v>15500</v>
      </c>
      <c r="H17" s="1">
        <f t="shared" si="26"/>
        <v>15500</v>
      </c>
      <c r="I17" s="1">
        <f t="shared" si="27"/>
        <v>15500</v>
      </c>
      <c r="J17" s="1">
        <f t="shared" si="8"/>
        <v>62000</v>
      </c>
      <c r="K17" s="30" t="s">
        <v>15</v>
      </c>
      <c r="L17" s="35" t="s">
        <v>32</v>
      </c>
      <c r="M17" s="1">
        <v>0</v>
      </c>
      <c r="N17" s="1">
        <v>4753.3599999999997</v>
      </c>
      <c r="O17" s="1"/>
      <c r="P17" s="1"/>
      <c r="Q17" s="1">
        <f t="shared" si="23"/>
        <v>4753.3599999999997</v>
      </c>
      <c r="R17" s="1">
        <f t="shared" si="24"/>
        <v>57246.64</v>
      </c>
      <c r="S17" s="39">
        <f t="shared" si="9"/>
        <v>0</v>
      </c>
      <c r="T17" s="39">
        <f t="shared" si="5"/>
        <v>0.30666838709677419</v>
      </c>
      <c r="U17" s="39">
        <f t="shared" si="5"/>
        <v>0</v>
      </c>
      <c r="V17" s="39">
        <f t="shared" si="5"/>
        <v>0</v>
      </c>
      <c r="W17" s="39">
        <f t="shared" si="10"/>
        <v>7.6667096774193547E-2</v>
      </c>
      <c r="X17" s="35" t="s">
        <v>32</v>
      </c>
      <c r="Y17" s="42"/>
    </row>
    <row r="18" spans="2:25">
      <c r="B18" s="1" t="b">
        <f t="shared" si="0"/>
        <v>1</v>
      </c>
      <c r="C18" s="2" t="s">
        <v>38</v>
      </c>
      <c r="D18" s="1">
        <v>0</v>
      </c>
      <c r="E18" s="1">
        <v>0</v>
      </c>
      <c r="F18" s="1">
        <v>13075.2</v>
      </c>
      <c r="G18" s="1">
        <v>22019</v>
      </c>
      <c r="H18" s="1">
        <v>23608</v>
      </c>
      <c r="I18" s="1">
        <v>22972.400000000001</v>
      </c>
      <c r="J18" s="1">
        <f t="shared" ref="J18" si="28">SUM(F18:I18)</f>
        <v>81674.600000000006</v>
      </c>
      <c r="K18" s="30"/>
      <c r="L18" s="31" t="s">
        <v>29</v>
      </c>
      <c r="M18" s="1">
        <v>13018</v>
      </c>
      <c r="N18" s="1">
        <v>21922</v>
      </c>
      <c r="O18" s="1"/>
      <c r="P18" s="1"/>
      <c r="Q18" s="1">
        <f t="shared" si="23"/>
        <v>34940</v>
      </c>
      <c r="R18" s="1">
        <f t="shared" si="24"/>
        <v>46734.600000000006</v>
      </c>
      <c r="S18" s="39">
        <f t="shared" si="9"/>
        <v>0.99562530592266274</v>
      </c>
      <c r="T18" s="39">
        <f t="shared" si="5"/>
        <v>0.99559471365638763</v>
      </c>
      <c r="U18" s="39">
        <f t="shared" si="5"/>
        <v>0</v>
      </c>
      <c r="V18" s="39">
        <f t="shared" si="5"/>
        <v>0</v>
      </c>
      <c r="W18" s="39">
        <f t="shared" si="10"/>
        <v>0.42779517744806828</v>
      </c>
      <c r="X18" s="31" t="s">
        <v>29</v>
      </c>
      <c r="Y18" s="42"/>
    </row>
    <row r="19" spans="2:25">
      <c r="B19" s="25" t="b">
        <f t="shared" si="0"/>
        <v>0</v>
      </c>
      <c r="C19" s="26" t="s">
        <v>39</v>
      </c>
      <c r="D19" s="28">
        <f>D21</f>
        <v>0</v>
      </c>
      <c r="E19" s="28">
        <f t="shared" ref="E19" si="29">E21</f>
        <v>0</v>
      </c>
      <c r="F19" s="28">
        <f>SUM(F20:F21)</f>
        <v>39109.69</v>
      </c>
      <c r="G19" s="28">
        <f t="shared" ref="G19:I19" si="30">SUM(G20:G21)</f>
        <v>53112.350000000006</v>
      </c>
      <c r="H19" s="28">
        <f t="shared" si="30"/>
        <v>55972.800000000003</v>
      </c>
      <c r="I19" s="28">
        <f t="shared" si="30"/>
        <v>58250.720000000008</v>
      </c>
      <c r="J19" s="27">
        <f t="shared" si="8"/>
        <v>206445.56000000003</v>
      </c>
      <c r="K19" s="36"/>
      <c r="L19" s="34"/>
      <c r="M19" s="28">
        <f t="shared" ref="M19:R19" si="31">SUM(M20:M21)</f>
        <v>40751.379999999997</v>
      </c>
      <c r="N19" s="28">
        <f>SUM(N20:N21)</f>
        <v>27461</v>
      </c>
      <c r="O19" s="28">
        <f t="shared" si="31"/>
        <v>0</v>
      </c>
      <c r="P19" s="28">
        <f t="shared" si="31"/>
        <v>0</v>
      </c>
      <c r="Q19" s="28">
        <f t="shared" si="31"/>
        <v>68212.38</v>
      </c>
      <c r="R19" s="28">
        <f t="shared" si="31"/>
        <v>138233.18000000002</v>
      </c>
      <c r="S19" s="41">
        <f t="shared" si="9"/>
        <v>1.0419765536367074</v>
      </c>
      <c r="T19" s="41">
        <f t="shared" si="5"/>
        <v>0.51703605658570928</v>
      </c>
      <c r="U19" s="41">
        <f t="shared" si="5"/>
        <v>0</v>
      </c>
      <c r="V19" s="41">
        <f t="shared" si="5"/>
        <v>0</v>
      </c>
      <c r="W19" s="41">
        <f t="shared" si="10"/>
        <v>0.33041340293295723</v>
      </c>
      <c r="X19" s="34"/>
      <c r="Y19" s="42"/>
    </row>
    <row r="20" spans="2:25">
      <c r="B20" s="1" t="b">
        <f t="shared" si="0"/>
        <v>1</v>
      </c>
      <c r="C20" s="2" t="s">
        <v>40</v>
      </c>
      <c r="D20" s="1">
        <v>0</v>
      </c>
      <c r="E20" s="1">
        <v>0</v>
      </c>
      <c r="F20" s="1">
        <v>39109.69</v>
      </c>
      <c r="G20" s="1">
        <v>33033.350000000006</v>
      </c>
      <c r="H20" s="1">
        <v>34444.800000000003</v>
      </c>
      <c r="I20" s="1">
        <v>37302.320000000007</v>
      </c>
      <c r="J20" s="1">
        <f t="shared" ref="J20" si="32">SUM(F20:I20)</f>
        <v>143890.16000000003</v>
      </c>
      <c r="K20" s="30"/>
      <c r="L20" s="31" t="s">
        <v>29</v>
      </c>
      <c r="M20" s="1">
        <f>38917.42+1833.96</f>
        <v>40751.379999999997</v>
      </c>
      <c r="N20" s="1">
        <v>27461</v>
      </c>
      <c r="O20" s="1"/>
      <c r="P20" s="1"/>
      <c r="Q20" s="1">
        <f t="shared" ref="Q20:Q21" si="33">SUM(M20:P20)</f>
        <v>68212.38</v>
      </c>
      <c r="R20" s="1">
        <f t="shared" ref="R20:R21" si="34">J20-Q20</f>
        <v>75677.780000000028</v>
      </c>
      <c r="S20" s="39">
        <f t="shared" si="9"/>
        <v>1.0419765536367074</v>
      </c>
      <c r="T20" s="39">
        <f t="shared" ref="T20:T22" si="35">IFERROR(N20/G20,0)</f>
        <v>0.83131138682573813</v>
      </c>
      <c r="U20" s="39">
        <f t="shared" ref="U20:U22" si="36">IFERROR(O20/H20,0)</f>
        <v>0</v>
      </c>
      <c r="V20" s="39">
        <f t="shared" ref="V20:V22" si="37">IFERROR(P20/I20,0)</f>
        <v>0</v>
      </c>
      <c r="W20" s="39">
        <f t="shared" si="10"/>
        <v>0.47405868476343338</v>
      </c>
      <c r="X20" s="31" t="s">
        <v>29</v>
      </c>
      <c r="Y20" s="42"/>
    </row>
    <row r="21" spans="2:25">
      <c r="B21" s="1" t="b">
        <f t="shared" si="0"/>
        <v>1</v>
      </c>
      <c r="C21" s="2" t="s">
        <v>41</v>
      </c>
      <c r="D21" s="1">
        <v>0</v>
      </c>
      <c r="E21" s="1">
        <v>0</v>
      </c>
      <c r="F21" s="1">
        <v>0</v>
      </c>
      <c r="G21" s="1">
        <v>20079</v>
      </c>
      <c r="H21" s="1">
        <v>21528</v>
      </c>
      <c r="I21" s="1">
        <v>20948.400000000001</v>
      </c>
      <c r="J21" s="1">
        <f t="shared" si="8"/>
        <v>62555.4</v>
      </c>
      <c r="K21" s="30"/>
      <c r="L21" s="31" t="s">
        <v>29</v>
      </c>
      <c r="M21" s="1">
        <v>0</v>
      </c>
      <c r="N21" s="1">
        <v>0</v>
      </c>
      <c r="O21" s="1"/>
      <c r="P21" s="1"/>
      <c r="Q21" s="1">
        <f t="shared" si="33"/>
        <v>0</v>
      </c>
      <c r="R21" s="1">
        <f t="shared" si="34"/>
        <v>62555.4</v>
      </c>
      <c r="S21" s="39">
        <f t="shared" si="9"/>
        <v>0</v>
      </c>
      <c r="T21" s="39">
        <f t="shared" si="35"/>
        <v>0</v>
      </c>
      <c r="U21" s="39">
        <f t="shared" si="36"/>
        <v>0</v>
      </c>
      <c r="V21" s="39">
        <f t="shared" si="37"/>
        <v>0</v>
      </c>
      <c r="W21" s="39">
        <f t="shared" si="10"/>
        <v>0</v>
      </c>
      <c r="X21" s="31" t="s">
        <v>29</v>
      </c>
      <c r="Y21" s="42"/>
    </row>
    <row r="22" spans="2:25">
      <c r="B22" s="25" t="b">
        <f t="shared" ref="B22:B23" si="38">ISNUMBER(SEARCH("tööjõukulu",C22,1))</f>
        <v>0</v>
      </c>
      <c r="C22" s="26" t="s">
        <v>55</v>
      </c>
      <c r="D22" s="28">
        <f>D24</f>
        <v>0</v>
      </c>
      <c r="E22" s="28">
        <f t="shared" ref="E22" si="39">E24</f>
        <v>0</v>
      </c>
      <c r="F22" s="28">
        <f>SUM(F23)</f>
        <v>0</v>
      </c>
      <c r="G22" s="28">
        <f t="shared" ref="G22:R22" si="40">SUM(G23)</f>
        <v>12052.8</v>
      </c>
      <c r="H22" s="28">
        <f t="shared" si="40"/>
        <v>59371.199999999997</v>
      </c>
      <c r="I22" s="28">
        <f t="shared" si="40"/>
        <v>0</v>
      </c>
      <c r="J22" s="28">
        <f t="shared" si="40"/>
        <v>71424</v>
      </c>
      <c r="K22" s="28">
        <f t="shared" si="40"/>
        <v>0</v>
      </c>
      <c r="L22" s="28">
        <f t="shared" si="40"/>
        <v>0</v>
      </c>
      <c r="M22" s="28">
        <f t="shared" si="40"/>
        <v>0</v>
      </c>
      <c r="N22" s="28">
        <f>SUM(N23)</f>
        <v>12052.8</v>
      </c>
      <c r="O22" s="28">
        <f t="shared" si="40"/>
        <v>0</v>
      </c>
      <c r="P22" s="28">
        <f t="shared" si="40"/>
        <v>0</v>
      </c>
      <c r="Q22" s="28">
        <f t="shared" si="40"/>
        <v>12052.8</v>
      </c>
      <c r="R22" s="28">
        <f t="shared" si="40"/>
        <v>59371.199999999997</v>
      </c>
      <c r="S22" s="41">
        <f t="shared" ref="S22:S23" si="41">IFERROR(M22/F22,0)</f>
        <v>0</v>
      </c>
      <c r="T22" s="41">
        <f t="shared" si="35"/>
        <v>1</v>
      </c>
      <c r="U22" s="41">
        <f t="shared" si="36"/>
        <v>0</v>
      </c>
      <c r="V22" s="41">
        <f t="shared" si="37"/>
        <v>0</v>
      </c>
      <c r="W22" s="41">
        <f t="shared" ref="W22:W23" si="42">IFERROR(Q22/J22,0)</f>
        <v>0.16874999999999998</v>
      </c>
      <c r="Y22" s="42"/>
    </row>
    <row r="23" spans="2:25">
      <c r="B23" s="1" t="b">
        <f t="shared" si="38"/>
        <v>0</v>
      </c>
      <c r="C23" s="47" t="s">
        <v>56</v>
      </c>
      <c r="D23" s="1">
        <v>0</v>
      </c>
      <c r="E23" s="1">
        <v>0</v>
      </c>
      <c r="F23" s="1">
        <v>0</v>
      </c>
      <c r="G23" s="1">
        <v>12052.8</v>
      </c>
      <c r="H23" s="43">
        <f>71424-G23</f>
        <v>59371.199999999997</v>
      </c>
      <c r="I23" s="1">
        <v>0</v>
      </c>
      <c r="J23" s="1">
        <f t="shared" ref="J23" si="43">SUM(F23:I23)</f>
        <v>71424</v>
      </c>
      <c r="K23" s="30"/>
      <c r="L23" s="31" t="s">
        <v>29</v>
      </c>
      <c r="M23" s="1">
        <v>0</v>
      </c>
      <c r="N23" s="1">
        <v>12052.8</v>
      </c>
      <c r="O23" s="1"/>
      <c r="P23" s="1"/>
      <c r="Q23" s="1">
        <f t="shared" ref="Q23" si="44">SUM(M23:P23)</f>
        <v>12052.8</v>
      </c>
      <c r="R23" s="1">
        <f t="shared" ref="R23" si="45">J23-Q23</f>
        <v>59371.199999999997</v>
      </c>
      <c r="S23" s="39">
        <f t="shared" si="41"/>
        <v>0</v>
      </c>
      <c r="T23" s="39">
        <f t="shared" ref="T23" si="46">IFERROR(N23/G23,0)</f>
        <v>1</v>
      </c>
      <c r="U23" s="39">
        <f t="shared" ref="U23" si="47">IFERROR(O23/H23,0)</f>
        <v>0</v>
      </c>
      <c r="V23" s="39">
        <f t="shared" ref="V23" si="48">IFERROR(P23/I23,0)</f>
        <v>0</v>
      </c>
      <c r="W23" s="39">
        <f t="shared" si="42"/>
        <v>0.16874999999999998</v>
      </c>
      <c r="X23" s="31" t="s">
        <v>23</v>
      </c>
      <c r="Y23" s="42"/>
    </row>
    <row r="24" spans="2:25">
      <c r="C24" s="10" t="s">
        <v>3</v>
      </c>
      <c r="D24" s="10"/>
      <c r="E24" s="10"/>
      <c r="F24" s="11">
        <f>SUMIF($B$4:$B$21,"TRUE",F4:F23)</f>
        <v>140550.21000000002</v>
      </c>
      <c r="G24" s="11">
        <f t="shared" ref="G24:I24" si="49">SUMIF($B$4:$B$21,"TRUE",G4:G23)</f>
        <v>162649.93</v>
      </c>
      <c r="H24" s="11">
        <f t="shared" si="49"/>
        <v>174730.40000000002</v>
      </c>
      <c r="I24" s="11">
        <f t="shared" si="49"/>
        <v>177027.136</v>
      </c>
      <c r="J24" s="11">
        <f>SUMIF($B$4:$B$21,"TRUE",J4:J23)</f>
        <v>654957.67600000009</v>
      </c>
      <c r="K24" s="12"/>
      <c r="M24" s="11">
        <f>SUMIF($B$4:$B$21,"TRUE",M4:M21)</f>
        <v>129207.17600000001</v>
      </c>
      <c r="N24" s="11">
        <f>SUMIF($B$4:$B$21,"TRUE",N4:N23)</f>
        <v>119622</v>
      </c>
      <c r="O24" s="11">
        <f>SUMIF($B$4:$B$21,"TRUE",O4:O23)</f>
        <v>0</v>
      </c>
      <c r="P24" s="11">
        <f>SUMIF($B$4:$B$21,"TRUE",P4:P23)</f>
        <v>0</v>
      </c>
      <c r="Q24" s="11">
        <f t="shared" ref="Q24" si="50">SUMIF($B$4:$B$21,"TRUE",Q4:Q23)</f>
        <v>248829.17600000001</v>
      </c>
      <c r="R24" s="11">
        <f>SUMIF($B$4:$B$21,"TRUE",R4:R23)</f>
        <v>406128.50000000012</v>
      </c>
      <c r="S24" s="44">
        <f t="shared" si="9"/>
        <v>0.91929550300920926</v>
      </c>
      <c r="T24" s="44">
        <f t="shared" si="9"/>
        <v>0.7354568182107426</v>
      </c>
      <c r="U24" s="11"/>
      <c r="V24" s="11"/>
      <c r="W24" s="11"/>
    </row>
    <row r="25" spans="2:25">
      <c r="C25" s="13" t="s">
        <v>4</v>
      </c>
      <c r="D25" s="13"/>
      <c r="E25" s="13"/>
      <c r="F25" s="14">
        <f t="shared" ref="F25:I25" si="51">F26-F24</f>
        <v>322555</v>
      </c>
      <c r="G25" s="14">
        <f t="shared" si="51"/>
        <v>441247.8000000001</v>
      </c>
      <c r="H25" s="14">
        <f t="shared" si="51"/>
        <v>688630.89999999991</v>
      </c>
      <c r="I25" s="14">
        <f t="shared" si="51"/>
        <v>470539.6999999999</v>
      </c>
      <c r="J25" s="14">
        <f>J26-J24</f>
        <v>1922973.4</v>
      </c>
      <c r="K25" s="15"/>
      <c r="M25" s="14">
        <f t="shared" ref="M25" si="52">M26-M24</f>
        <v>250090.54999999996</v>
      </c>
      <c r="N25" s="14">
        <f>N26-N24</f>
        <v>300159.6700000001</v>
      </c>
      <c r="O25" s="14">
        <f t="shared" ref="O25:P25" si="53">O26-O24</f>
        <v>0</v>
      </c>
      <c r="P25" s="14">
        <f t="shared" si="53"/>
        <v>0</v>
      </c>
      <c r="Q25" s="14">
        <f t="shared" ref="Q25" si="54">Q26-Q24</f>
        <v>550250.22000000009</v>
      </c>
      <c r="R25" s="14">
        <f>R26-R24</f>
        <v>1372723.1799999997</v>
      </c>
      <c r="S25" s="45">
        <f t="shared" si="9"/>
        <v>0.77534234471640484</v>
      </c>
      <c r="T25" s="45">
        <f t="shared" si="9"/>
        <v>0.68025193553372965</v>
      </c>
      <c r="U25" s="14"/>
      <c r="V25" s="14"/>
      <c r="W25" s="14"/>
    </row>
    <row r="26" spans="2:25">
      <c r="C26" s="16" t="s">
        <v>5</v>
      </c>
      <c r="D26" s="16"/>
      <c r="E26" s="16"/>
      <c r="F26" s="17">
        <f t="shared" ref="F26:I26" si="55">F4+F7+F13+F19+F22</f>
        <v>463105.21</v>
      </c>
      <c r="G26" s="17">
        <f t="shared" si="55"/>
        <v>603897.7300000001</v>
      </c>
      <c r="H26" s="17">
        <f t="shared" si="55"/>
        <v>863361.29999999993</v>
      </c>
      <c r="I26" s="17">
        <f t="shared" si="55"/>
        <v>647566.83599999989</v>
      </c>
      <c r="J26" s="17">
        <f>J4+J7+J13+J19+J22</f>
        <v>2577931.0759999999</v>
      </c>
      <c r="K26" s="18"/>
      <c r="M26" s="17">
        <f>M4+M7+M13+M19</f>
        <v>379297.72599999997</v>
      </c>
      <c r="N26" s="17">
        <f>N4+N7+N13+N19+N22</f>
        <v>419781.6700000001</v>
      </c>
      <c r="O26" s="17">
        <f>O4+O7+O13+O19+O22</f>
        <v>0</v>
      </c>
      <c r="P26" s="17">
        <f>P4+P7+P13+P19+P22</f>
        <v>0</v>
      </c>
      <c r="Q26" s="17">
        <f t="shared" ref="Q26" si="56">Q4+Q7+Q13+Q19+Q22</f>
        <v>799079.39600000007</v>
      </c>
      <c r="R26" s="17">
        <f>R4+R7+R13+R19+R22</f>
        <v>1778851.6799999997</v>
      </c>
      <c r="S26" s="46">
        <f t="shared" si="9"/>
        <v>0.81903143780222198</v>
      </c>
      <c r="T26" s="46">
        <f t="shared" si="9"/>
        <v>0.69512046352616697</v>
      </c>
      <c r="U26" s="17"/>
      <c r="V26" s="17"/>
      <c r="W26" s="17"/>
    </row>
    <row r="28" spans="2:25" ht="15">
      <c r="F28" s="37"/>
      <c r="G28" s="37"/>
      <c r="H28" s="37"/>
      <c r="I28" s="37"/>
      <c r="J28" s="37"/>
      <c r="K28" s="37"/>
      <c r="L28" s="37"/>
    </row>
    <row r="29" spans="2:25">
      <c r="H29" s="37"/>
      <c r="I29" s="20"/>
    </row>
    <row r="30" spans="2:25">
      <c r="C30" s="21"/>
      <c r="D30" s="21"/>
      <c r="E30" s="21"/>
    </row>
    <row r="34" spans="7:7">
      <c r="G34" s="22"/>
    </row>
    <row r="36" spans="7:7">
      <c r="G36" s="20"/>
    </row>
  </sheetData>
  <mergeCells count="1">
    <mergeCell ref="F1:K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Lisa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upTIS_sisend res.tabelisse_2025 (Jira - sotsiaalministeerium.ee)</dc:title>
  <dc:creator>Kirsika Nahkur</dc:creator>
  <cp:lastModifiedBy>Kirsika Nahkur</cp:lastModifiedBy>
  <dcterms:created xsi:type="dcterms:W3CDTF">2025-04-04T13:41:45Z</dcterms:created>
  <dcterms:modified xsi:type="dcterms:W3CDTF">2026-07-15T12:13:22Z</dcterms:modified>
</cp:coreProperties>
</file>